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normal breathing" sheetId="1" r:id="rId1"/>
    <sheet name="Fire Relief" sheetId="2" r:id="rId2"/>
  </sheets>
  <definedNames>
    <definedName name="_xlnm.Print_Area" localSheetId="0">'normal breathing'!$A$1:$J$67</definedName>
  </definedNames>
  <calcPr fullCalcOnLoad="1"/>
</workbook>
</file>

<file path=xl/sharedStrings.xml><?xml version="1.0" encoding="utf-8"?>
<sst xmlns="http://schemas.openxmlformats.org/spreadsheetml/2006/main" count="197" uniqueCount="143">
  <si>
    <t>Data :</t>
  </si>
  <si>
    <t>m</t>
  </si>
  <si>
    <t>m3/h</t>
  </si>
  <si>
    <t>mbarg</t>
  </si>
  <si>
    <t>Insulation thickness :</t>
  </si>
  <si>
    <t>W/m/K</t>
  </si>
  <si>
    <t>Insulation conductivity :</t>
  </si>
  <si>
    <t>Inbreathing requirements :</t>
  </si>
  <si>
    <t>Inbreathing requirement :</t>
  </si>
  <si>
    <t>Nm3/h</t>
  </si>
  <si>
    <t xml:space="preserve">m3 </t>
  </si>
  <si>
    <t>h = inside heat transfer coefficient</t>
  </si>
  <si>
    <t>Total inbreathing requirement :</t>
  </si>
  <si>
    <t>m2</t>
  </si>
  <si>
    <t>heat input</t>
  </si>
  <si>
    <t>Q</t>
  </si>
  <si>
    <t>table 3</t>
  </si>
  <si>
    <t>environmental factor</t>
  </si>
  <si>
    <t>F</t>
  </si>
  <si>
    <t>L</t>
  </si>
  <si>
    <t>T</t>
  </si>
  <si>
    <t>relief temp</t>
  </si>
  <si>
    <t>K</t>
  </si>
  <si>
    <t>J/kg</t>
  </si>
  <si>
    <t>Atws</t>
  </si>
  <si>
    <t>wetted surface area</t>
  </si>
  <si>
    <t>diameter</t>
  </si>
  <si>
    <t>venting capacity</t>
  </si>
  <si>
    <t>q</t>
  </si>
  <si>
    <t>M</t>
  </si>
  <si>
    <t>g/mol</t>
  </si>
  <si>
    <t>Steam out</t>
  </si>
  <si>
    <t>Outbreathing requirements :</t>
  </si>
  <si>
    <t>Outbreathing requirement :</t>
  </si>
  <si>
    <t>Total outbreathing requirement :</t>
  </si>
  <si>
    <t>Tank :</t>
  </si>
  <si>
    <t>Process:</t>
  </si>
  <si>
    <t>Max Liquid Discharge rate</t>
  </si>
  <si>
    <t>Max Liquid Filling rate</t>
  </si>
  <si>
    <t>Normal Conditions</t>
  </si>
  <si>
    <t>temperature</t>
  </si>
  <si>
    <t>°C</t>
  </si>
  <si>
    <t>pressure</t>
  </si>
  <si>
    <t>kPa</t>
  </si>
  <si>
    <t>W/m2/K</t>
  </si>
  <si>
    <r>
      <t>V</t>
    </r>
    <r>
      <rPr>
        <vertAlign val="subscript"/>
        <sz val="10"/>
        <rFont val="Arial"/>
        <family val="2"/>
      </rPr>
      <t>IT</t>
    </r>
    <r>
      <rPr>
        <sz val="10"/>
        <rFont val="Arial"/>
        <family val="2"/>
      </rPr>
      <t xml:space="preserve"> = C x V</t>
    </r>
    <r>
      <rPr>
        <vertAlign val="subscript"/>
        <sz val="10"/>
        <rFont val="Arial"/>
        <family val="2"/>
      </rPr>
      <t>tk</t>
    </r>
    <r>
      <rPr>
        <vertAlign val="superscript"/>
        <sz val="10"/>
        <rFont val="Arial"/>
        <family val="2"/>
      </rPr>
      <t>0.7</t>
    </r>
    <r>
      <rPr>
        <sz val="10"/>
        <rFont val="Arial"/>
        <family val="2"/>
      </rPr>
      <t xml:space="preserve"> x R</t>
    </r>
    <r>
      <rPr>
        <vertAlign val="subscript"/>
        <sz val="10"/>
        <rFont val="Arial"/>
        <family val="2"/>
      </rPr>
      <t>i</t>
    </r>
  </si>
  <si>
    <r>
      <t>V</t>
    </r>
    <r>
      <rPr>
        <vertAlign val="subscript"/>
        <sz val="10"/>
        <rFont val="Arial"/>
        <family val="2"/>
      </rPr>
      <t>tk</t>
    </r>
    <r>
      <rPr>
        <sz val="10"/>
        <rFont val="Arial"/>
        <family val="2"/>
      </rPr>
      <t xml:space="preserve"> = tank volume</t>
    </r>
  </si>
  <si>
    <r>
      <t>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reduction factor for insulation</t>
    </r>
  </si>
  <si>
    <r>
      <t>l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2"/>
      </rPr>
      <t xml:space="preserve"> = wall tickness of insulation</t>
    </r>
  </si>
  <si>
    <r>
      <t>l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2"/>
      </rPr>
      <t xml:space="preserve"> = thermal conductivity of insulation</t>
    </r>
  </si>
  <si>
    <r>
      <t>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1 /( 1 + (h x l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2"/>
      </rPr>
      <t xml:space="preserve"> /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2"/>
      </rPr>
      <t>))</t>
    </r>
  </si>
  <si>
    <r>
      <t>V</t>
    </r>
    <r>
      <rPr>
        <vertAlign val="subscript"/>
        <sz val="10"/>
        <rFont val="Arial"/>
        <family val="2"/>
      </rPr>
      <t>IT</t>
    </r>
    <r>
      <rPr>
        <sz val="10"/>
        <rFont val="Arial"/>
        <family val="2"/>
      </rPr>
      <t xml:space="preserve"> = inbreathing rate</t>
    </r>
  </si>
  <si>
    <r>
      <t>VOT = Y x V</t>
    </r>
    <r>
      <rPr>
        <vertAlign val="subscript"/>
        <sz val="10"/>
        <rFont val="Arial"/>
        <family val="2"/>
      </rPr>
      <t>tk</t>
    </r>
    <r>
      <rPr>
        <vertAlign val="superscript"/>
        <sz val="10"/>
        <rFont val="Arial"/>
        <family val="2"/>
      </rPr>
      <t>0.9</t>
    </r>
    <r>
      <rPr>
        <sz val="10"/>
        <rFont val="Arial"/>
        <family val="2"/>
      </rPr>
      <t xml:space="preserve"> x R</t>
    </r>
    <r>
      <rPr>
        <vertAlign val="subscript"/>
        <sz val="10"/>
        <rFont val="Arial"/>
        <family val="2"/>
      </rPr>
      <t>i</t>
    </r>
  </si>
  <si>
    <t>Venting calculations</t>
  </si>
  <si>
    <r>
      <t>V</t>
    </r>
    <r>
      <rPr>
        <vertAlign val="subscript"/>
        <sz val="10"/>
        <rFont val="Arial"/>
        <family val="2"/>
      </rPr>
      <t>OT</t>
    </r>
    <r>
      <rPr>
        <sz val="10"/>
        <rFont val="Arial"/>
        <family val="2"/>
      </rPr>
      <t xml:space="preserve"> = outbreathing rate</t>
    </r>
  </si>
  <si>
    <t>Nm3/h of Air</t>
  </si>
  <si>
    <t>Air out</t>
  </si>
  <si>
    <t>table 9</t>
  </si>
  <si>
    <t>relative mol mass</t>
  </si>
  <si>
    <t>max 9.14 m</t>
  </si>
  <si>
    <t>inside heat transfer coefficient</t>
  </si>
  <si>
    <t>Nm3/h air</t>
  </si>
  <si>
    <t>Nm3/h Air</t>
  </si>
  <si>
    <t>Latitude</t>
  </si>
  <si>
    <t>°</t>
  </si>
  <si>
    <t>Vapour Pressure liquid at 20°C</t>
  </si>
  <si>
    <t>mbar</t>
  </si>
  <si>
    <t>Average Storage temperature</t>
  </si>
  <si>
    <t>mbar at 20 °C</t>
  </si>
  <si>
    <t>references</t>
  </si>
  <si>
    <t>Vapour pressure Hexane or Similar &lt;</t>
  </si>
  <si>
    <t>C = factor</t>
  </si>
  <si>
    <t>from Table 2</t>
  </si>
  <si>
    <t>Y= factor</t>
  </si>
  <si>
    <t>from Table 1</t>
  </si>
  <si>
    <r>
      <t>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/K</t>
    </r>
  </si>
  <si>
    <t>Weak roof to shell acc API Std 650</t>
  </si>
  <si>
    <t>yes</t>
  </si>
  <si>
    <t>no</t>
  </si>
  <si>
    <t>If yes, no fire relief requirement</t>
  </si>
  <si>
    <t>Insulated tank</t>
  </si>
  <si>
    <t xml:space="preserve">F </t>
  </si>
  <si>
    <t>Earth-covered storage above grade</t>
  </si>
  <si>
    <t>Impoundment away from tank</t>
  </si>
  <si>
    <t>lowest</t>
  </si>
  <si>
    <t>Type</t>
  </si>
  <si>
    <t>sphere</t>
  </si>
  <si>
    <t>horizontal</t>
  </si>
  <si>
    <t>vertical</t>
  </si>
  <si>
    <t>height for calc</t>
  </si>
  <si>
    <t>Diameter : (sphere, cylinder)</t>
  </si>
  <si>
    <t>Height/length (cylinder) :</t>
  </si>
  <si>
    <t>Location:</t>
  </si>
  <si>
    <t>W</t>
  </si>
  <si>
    <t>heat of vapourization</t>
  </si>
  <si>
    <t>see table 9 note f for requirement</t>
  </si>
  <si>
    <t>Fire Relief outbreathing</t>
  </si>
  <si>
    <t>Summary of calculation</t>
  </si>
  <si>
    <t>Total normal inbreathing requirement :</t>
  </si>
  <si>
    <t>Total normal outbreathing requirement :</t>
  </si>
  <si>
    <t>Other outbreathing requirements</t>
  </si>
  <si>
    <t>Other outbreathing:</t>
  </si>
  <si>
    <t>Pressure transfer vapour breakthrough</t>
  </si>
  <si>
    <t>Abnormal heat transfer</t>
  </si>
  <si>
    <t>Internal failure of heat-transfer devices</t>
  </si>
  <si>
    <t>Utility failure</t>
  </si>
  <si>
    <t>Change in temperature of the input stream to a tank</t>
  </si>
  <si>
    <t>Control valve failure</t>
  </si>
  <si>
    <t>Inert pads and purges / failures</t>
  </si>
  <si>
    <t>Other</t>
  </si>
  <si>
    <r>
      <t>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</si>
  <si>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Vent treatment systems failure</t>
  </si>
  <si>
    <t>Volume</t>
  </si>
  <si>
    <r>
      <t xml:space="preserve">Liquid discharge (eq </t>
    </r>
    <r>
      <rPr>
        <sz val="10"/>
        <color indexed="40"/>
        <rFont val="Arial"/>
        <family val="2"/>
      </rPr>
      <t>5</t>
    </r>
    <r>
      <rPr>
        <sz val="10"/>
        <rFont val="Arial"/>
        <family val="2"/>
      </rPr>
      <t>) :</t>
    </r>
  </si>
  <si>
    <r>
      <t xml:space="preserve">Thermal inbreathing (eq </t>
    </r>
    <r>
      <rPr>
        <sz val="10"/>
        <color indexed="40"/>
        <rFont val="Arial"/>
        <family val="2"/>
      </rPr>
      <t>9</t>
    </r>
    <r>
      <rPr>
        <sz val="10"/>
        <rFont val="Arial"/>
        <family val="2"/>
      </rPr>
      <t>)</t>
    </r>
  </si>
  <si>
    <r>
      <t>% (shell and roof,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insulated/m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total area)</t>
    </r>
  </si>
  <si>
    <t>Flashing occuring of entering liquid?</t>
  </si>
  <si>
    <t>if yes perform flash calculation for outbreathing</t>
  </si>
  <si>
    <t>Flashing additional quantity</t>
  </si>
  <si>
    <r>
      <t xml:space="preserve">Liquid filling (eq 1 &amp; </t>
    </r>
    <r>
      <rPr>
        <sz val="10"/>
        <color indexed="40"/>
        <rFont val="Arial"/>
        <family val="2"/>
      </rPr>
      <t>3</t>
    </r>
    <r>
      <rPr>
        <sz val="10"/>
        <rFont val="Arial"/>
        <family val="2"/>
      </rPr>
      <t>) :</t>
    </r>
  </si>
  <si>
    <r>
      <t>Thermal outbreathing (</t>
    </r>
    <r>
      <rPr>
        <sz val="10"/>
        <color indexed="40"/>
        <rFont val="Arial"/>
        <family val="2"/>
      </rPr>
      <t>7</t>
    </r>
    <r>
      <rPr>
        <sz val="10"/>
        <rFont val="Arial"/>
        <family val="2"/>
      </rPr>
      <t>)</t>
    </r>
  </si>
  <si>
    <t>Double Wall Tank</t>
  </si>
  <si>
    <t>Surface Area Percentage Insulated or double walled</t>
  </si>
  <si>
    <r>
      <t>R</t>
    </r>
    <r>
      <rPr>
        <vertAlign val="subscript"/>
        <sz val="10"/>
        <rFont val="Arial"/>
        <family val="2"/>
      </rPr>
      <t>inp</t>
    </r>
    <r>
      <rPr>
        <sz val="10"/>
        <rFont val="Arial"/>
        <family val="2"/>
      </rPr>
      <t>(</t>
    </r>
    <r>
      <rPr>
        <sz val="10"/>
        <color indexed="40"/>
        <rFont val="Arial"/>
        <family val="2"/>
      </rPr>
      <t>12</t>
    </r>
    <r>
      <rPr>
        <sz val="10"/>
        <rFont val="Arial"/>
        <family val="2"/>
      </rPr>
      <t>)= (% in*R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)+(1-%in)</t>
    </r>
  </si>
  <si>
    <r>
      <t>Rc (</t>
    </r>
    <r>
      <rPr>
        <sz val="10"/>
        <color indexed="40"/>
        <rFont val="Arial"/>
        <family val="2"/>
      </rPr>
      <t>13</t>
    </r>
    <r>
      <rPr>
        <sz val="10"/>
        <rFont val="Arial"/>
        <family val="2"/>
      </rPr>
      <t>)= 0.25+0.75 (1-%wall)</t>
    </r>
  </si>
  <si>
    <r>
      <t xml:space="preserve">q=906.6*Q*F/L*(T/M)^0.5 (eq </t>
    </r>
    <r>
      <rPr>
        <sz val="12"/>
        <color indexed="40"/>
        <rFont val="Arial"/>
        <family val="2"/>
      </rPr>
      <t>14</t>
    </r>
    <r>
      <rPr>
        <sz val="12"/>
        <rFont val="Arial"/>
        <family val="2"/>
      </rPr>
      <t>)</t>
    </r>
  </si>
  <si>
    <t>new 7th edition</t>
  </si>
  <si>
    <t>relative molecular mass air</t>
  </si>
  <si>
    <t>Outbreathing requirement air equiv (eq 37)</t>
  </si>
  <si>
    <t>relative molecular mass vapour space</t>
  </si>
  <si>
    <t>relative molecular mass inbreathing gas</t>
  </si>
  <si>
    <r>
      <t xml:space="preserve">g/mol </t>
    </r>
    <r>
      <rPr>
        <i/>
        <sz val="10"/>
        <rFont val="Arial"/>
        <family val="2"/>
      </rPr>
      <t>(air, nitrogen or other)</t>
    </r>
  </si>
  <si>
    <t>Average inbreathing gas temperature</t>
  </si>
  <si>
    <t>table D1: vapour space is mostly air, correction if different than air, provide in cell D17</t>
  </si>
  <si>
    <t>table D1: fluid to break vacuum correction if different than air, provide in cell D18</t>
  </si>
  <si>
    <t>relative molecular mass tank fluid</t>
  </si>
  <si>
    <t>heat of vaporization tank fluid</t>
  </si>
  <si>
    <t>°C, boiling point tank fluid at relieving pressure</t>
  </si>
  <si>
    <t>Outbreathing set pressure (design pressure)</t>
  </si>
  <si>
    <t xml:space="preserve">According API 2000, seventh revision </t>
  </si>
  <si>
    <t>colour coding:</t>
  </si>
  <si>
    <t>normal breathing input</t>
  </si>
  <si>
    <t>fire relief input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</si>
</sst>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00"/>
    <numFmt numFmtId="165" formatCode="0.000"/>
    <numFmt numFmtId="166" formatCode="0.000000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sz val="10"/>
      <color indexed="40"/>
      <name val="Arial"/>
      <family val="2"/>
    </font>
    <font>
      <sz val="12"/>
      <color indexed="40"/>
      <name val="Arial"/>
      <family val="2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 horizontal="center"/>
    </xf>
    <xf numFmtId="1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" fontId="8" fillId="35" borderId="0" xfId="0" applyNumberFormat="1" applyFont="1" applyFill="1" applyAlignment="1">
      <alignment/>
    </xf>
    <xf numFmtId="1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>
      <alignment vertical="center"/>
    </xf>
    <xf numFmtId="2" fontId="4" fillId="35" borderId="0" xfId="0" applyNumberFormat="1" applyFont="1" applyFill="1" applyAlignment="1">
      <alignment/>
    </xf>
    <xf numFmtId="0" fontId="4" fillId="35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4" fillId="34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zoomScale="110" zoomScaleNormal="110" zoomScalePageLayoutView="0" workbookViewId="0" topLeftCell="A1">
      <selection activeCell="D1" sqref="D1"/>
    </sheetView>
  </sheetViews>
  <sheetFormatPr defaultColWidth="8.88671875" defaultRowHeight="15"/>
  <cols>
    <col min="1" max="1" width="7.21484375" style="0" customWidth="1"/>
    <col min="3" max="3" width="30.5546875" style="0" customWidth="1"/>
    <col min="4" max="4" width="8.4453125" style="0" customWidth="1"/>
    <col min="5" max="5" width="15.6640625" style="0" bestFit="1" customWidth="1"/>
    <col min="7" max="7" width="25.3359375" style="0" bestFit="1" customWidth="1"/>
    <col min="8" max="8" width="6.3359375" style="0" bestFit="1" customWidth="1"/>
    <col min="9" max="9" width="9.88671875" style="0" bestFit="1" customWidth="1"/>
  </cols>
  <sheetData>
    <row r="1" ht="20.25">
      <c r="A1" s="1" t="s">
        <v>53</v>
      </c>
    </row>
    <row r="2" ht="15">
      <c r="A2" s="5" t="s">
        <v>139</v>
      </c>
    </row>
    <row r="3" ht="15">
      <c r="A3" s="5"/>
    </row>
    <row r="4" ht="15">
      <c r="A4" s="5" t="s">
        <v>97</v>
      </c>
    </row>
    <row r="5" spans="1:9" ht="15">
      <c r="A5" s="5"/>
      <c r="B5" s="16" t="s">
        <v>98</v>
      </c>
      <c r="C5" s="16"/>
      <c r="D5" s="15">
        <f>$D$56+$D$69</f>
        <v>5936.442135795551</v>
      </c>
      <c r="E5" s="16" t="s">
        <v>62</v>
      </c>
      <c r="G5" s="5" t="s">
        <v>140</v>
      </c>
      <c r="H5" s="35" t="s">
        <v>141</v>
      </c>
      <c r="I5" s="35"/>
    </row>
    <row r="6" spans="1:9" ht="15">
      <c r="A6" s="5"/>
      <c r="B6" s="16" t="s">
        <v>99</v>
      </c>
      <c r="C6" s="16"/>
      <c r="D6" s="15">
        <f>$D$76+$D$89</f>
        <v>2322.550485920937</v>
      </c>
      <c r="E6" s="16" t="s">
        <v>61</v>
      </c>
      <c r="H6" s="36" t="s">
        <v>142</v>
      </c>
      <c r="I6" s="36"/>
    </row>
    <row r="7" spans="1:9" ht="15">
      <c r="A7" s="5"/>
      <c r="B7" s="16" t="s">
        <v>96</v>
      </c>
      <c r="C7" s="16"/>
      <c r="D7" s="15">
        <f>IF($D$34="yes",0,'Fire Relief'!$C$14)</f>
        <v>4162.218295292605</v>
      </c>
      <c r="E7" s="16" t="s">
        <v>61</v>
      </c>
      <c r="H7" s="37" t="s">
        <v>126</v>
      </c>
      <c r="I7" s="37"/>
    </row>
    <row r="8" spans="1:5" ht="15">
      <c r="A8" s="5"/>
      <c r="B8" s="16" t="s">
        <v>100</v>
      </c>
      <c r="C8" s="16"/>
      <c r="D8" s="15">
        <f>MAX(D40:D50)</f>
        <v>0</v>
      </c>
      <c r="E8" s="16" t="s">
        <v>61</v>
      </c>
    </row>
    <row r="9" spans="1:5" ht="15">
      <c r="A9" s="5"/>
      <c r="B9" s="16"/>
      <c r="C9" s="16"/>
      <c r="D9" s="15"/>
      <c r="E9" s="16"/>
    </row>
    <row r="10" spans="1:10" ht="15.75">
      <c r="A10" s="4" t="s">
        <v>0</v>
      </c>
      <c r="G10" s="16" t="s">
        <v>69</v>
      </c>
      <c r="H10" s="7"/>
      <c r="I10" s="7"/>
      <c r="J10" s="7" t="s">
        <v>77</v>
      </c>
    </row>
    <row r="11" spans="1:10" ht="15.75">
      <c r="A11" s="4"/>
      <c r="B11" s="7" t="s">
        <v>92</v>
      </c>
      <c r="C11" s="7" t="s">
        <v>63</v>
      </c>
      <c r="D11" s="23">
        <v>28</v>
      </c>
      <c r="E11" s="5" t="s">
        <v>64</v>
      </c>
      <c r="G11" s="7"/>
      <c r="H11" s="7"/>
      <c r="I11" s="7"/>
      <c r="J11" s="7" t="s">
        <v>78</v>
      </c>
    </row>
    <row r="12" spans="1:9" ht="15.75">
      <c r="A12" s="4"/>
      <c r="B12" s="7" t="s">
        <v>36</v>
      </c>
      <c r="C12" s="7"/>
      <c r="D12" s="11"/>
      <c r="E12" s="7"/>
      <c r="F12" s="7"/>
      <c r="G12" s="7" t="s">
        <v>39</v>
      </c>
      <c r="H12" s="7"/>
      <c r="I12" s="7"/>
    </row>
    <row r="13" spans="1:9" ht="15.75">
      <c r="A13" s="4"/>
      <c r="B13" s="7"/>
      <c r="C13" s="7" t="s">
        <v>65</v>
      </c>
      <c r="D13" s="23">
        <v>30</v>
      </c>
      <c r="E13" s="7" t="s">
        <v>66</v>
      </c>
      <c r="F13" s="7"/>
      <c r="G13" s="7" t="s">
        <v>40</v>
      </c>
      <c r="H13" s="23">
        <v>0</v>
      </c>
      <c r="I13" s="7" t="s">
        <v>41</v>
      </c>
    </row>
    <row r="14" spans="1:9" ht="15.75">
      <c r="A14" s="4"/>
      <c r="B14" s="7"/>
      <c r="C14" s="7" t="s">
        <v>67</v>
      </c>
      <c r="D14" s="23">
        <v>10</v>
      </c>
      <c r="E14" s="7" t="s">
        <v>41</v>
      </c>
      <c r="F14" s="7"/>
      <c r="G14" s="7" t="s">
        <v>42</v>
      </c>
      <c r="H14" s="7">
        <v>101.325</v>
      </c>
      <c r="I14" s="7" t="s">
        <v>43</v>
      </c>
    </row>
    <row r="15" spans="1:9" ht="15.75">
      <c r="A15" s="4"/>
      <c r="B15" s="7"/>
      <c r="C15" s="7" t="s">
        <v>38</v>
      </c>
      <c r="D15" s="23">
        <v>795</v>
      </c>
      <c r="E15" s="7" t="s">
        <v>2</v>
      </c>
      <c r="F15" s="7"/>
      <c r="G15" s="7" t="s">
        <v>127</v>
      </c>
      <c r="H15" s="23">
        <v>29</v>
      </c>
      <c r="I15" s="7" t="s">
        <v>30</v>
      </c>
    </row>
    <row r="16" spans="1:9" ht="15.75">
      <c r="A16" s="4"/>
      <c r="B16" s="7"/>
      <c r="C16" s="7" t="s">
        <v>37</v>
      </c>
      <c r="D16" s="23">
        <v>1272</v>
      </c>
      <c r="E16" s="7" t="s">
        <v>2</v>
      </c>
      <c r="F16" s="7"/>
      <c r="G16" s="7" t="s">
        <v>70</v>
      </c>
      <c r="H16" s="23">
        <v>25</v>
      </c>
      <c r="I16" s="7" t="s">
        <v>68</v>
      </c>
    </row>
    <row r="17" spans="1:9" ht="15.75">
      <c r="A17" s="4"/>
      <c r="B17" s="7"/>
      <c r="C17" s="7" t="s">
        <v>129</v>
      </c>
      <c r="D17" s="23">
        <v>29</v>
      </c>
      <c r="E17" s="7" t="s">
        <v>131</v>
      </c>
      <c r="F17" s="7"/>
      <c r="G17" s="7"/>
      <c r="H17" s="7"/>
      <c r="I17" s="7"/>
    </row>
    <row r="18" spans="1:9" ht="15.75">
      <c r="A18" s="4"/>
      <c r="B18" s="7"/>
      <c r="C18" s="7" t="s">
        <v>130</v>
      </c>
      <c r="D18" s="23">
        <v>29</v>
      </c>
      <c r="E18" s="7" t="s">
        <v>131</v>
      </c>
      <c r="F18" s="7"/>
      <c r="G18" s="7"/>
      <c r="H18" s="7"/>
      <c r="I18" s="7"/>
    </row>
    <row r="19" spans="1:9" ht="15.75">
      <c r="A19" s="4"/>
      <c r="B19" s="7"/>
      <c r="C19" s="7" t="s">
        <v>132</v>
      </c>
      <c r="D19" s="23">
        <v>10</v>
      </c>
      <c r="E19" s="7" t="s">
        <v>41</v>
      </c>
      <c r="F19" s="7"/>
      <c r="G19" s="7"/>
      <c r="H19" s="7"/>
      <c r="I19" s="7"/>
    </row>
    <row r="20" spans="3:9" ht="15">
      <c r="C20" s="7" t="s">
        <v>136</v>
      </c>
      <c r="D20" s="8">
        <v>334900</v>
      </c>
      <c r="E20" s="7" t="s">
        <v>23</v>
      </c>
      <c r="F20" s="7"/>
      <c r="G20" s="7"/>
      <c r="H20" s="7"/>
      <c r="I20" s="7"/>
    </row>
    <row r="21" spans="3:9" ht="15">
      <c r="C21" s="7" t="s">
        <v>21</v>
      </c>
      <c r="D21" s="8">
        <v>15.6</v>
      </c>
      <c r="E21" s="7" t="s">
        <v>137</v>
      </c>
      <c r="F21" s="7"/>
      <c r="G21" s="7"/>
      <c r="H21" s="7"/>
      <c r="I21" s="7"/>
    </row>
    <row r="22" spans="3:9" ht="15">
      <c r="C22" s="7" t="s">
        <v>135</v>
      </c>
      <c r="D22" s="8">
        <v>86.2</v>
      </c>
      <c r="E22" s="7" t="s">
        <v>30</v>
      </c>
      <c r="F22" s="7"/>
      <c r="G22" s="7"/>
      <c r="H22" s="7"/>
      <c r="I22" s="7"/>
    </row>
    <row r="23" spans="3:9" ht="15">
      <c r="C23" s="27" t="s">
        <v>116</v>
      </c>
      <c r="D23" s="24" t="s">
        <v>78</v>
      </c>
      <c r="E23" s="27" t="s">
        <v>117</v>
      </c>
      <c r="F23" s="7"/>
      <c r="G23" s="7"/>
      <c r="H23" s="7"/>
      <c r="I23" s="7"/>
    </row>
    <row r="24" spans="1:9" ht="15.75">
      <c r="A24" s="4"/>
      <c r="B24" s="7"/>
      <c r="C24" s="7"/>
      <c r="D24" s="11"/>
      <c r="E24" s="7"/>
      <c r="F24" s="7"/>
      <c r="G24" s="7"/>
      <c r="H24" s="7"/>
      <c r="I24" s="7"/>
    </row>
    <row r="25" spans="2:9" ht="15">
      <c r="B25" s="7" t="s">
        <v>35</v>
      </c>
      <c r="C25" s="7"/>
      <c r="D25" s="11"/>
      <c r="E25" s="7"/>
      <c r="F25" s="7"/>
      <c r="G25" s="7"/>
      <c r="H25" s="7"/>
      <c r="I25" s="7"/>
    </row>
    <row r="26" spans="2:10" ht="15">
      <c r="B26" s="7"/>
      <c r="C26" s="7" t="s">
        <v>85</v>
      </c>
      <c r="D26" s="24" t="s">
        <v>88</v>
      </c>
      <c r="E26" s="7" t="str">
        <f>IF(OR(D26=J27,D26=J28),"Cylinder","")</f>
        <v>Cylinder</v>
      </c>
      <c r="F26" s="7" t="s">
        <v>112</v>
      </c>
      <c r="G26" s="9">
        <f>IF($D$26&lt;&gt;"sphere",PI()*($D$27/2)^2*$D$28,$D$27^3*PI()/6)</f>
        <v>12734.053122244528</v>
      </c>
      <c r="H26" s="7"/>
      <c r="I26" s="7"/>
      <c r="J26" s="7" t="s">
        <v>86</v>
      </c>
    </row>
    <row r="27" spans="2:10" ht="15">
      <c r="B27" s="7"/>
      <c r="C27" s="7" t="s">
        <v>90</v>
      </c>
      <c r="D27" s="23">
        <v>30</v>
      </c>
      <c r="E27" s="7" t="s">
        <v>1</v>
      </c>
      <c r="F27" s="7"/>
      <c r="G27" s="7"/>
      <c r="H27" s="7"/>
      <c r="I27" s="7"/>
      <c r="J27" s="7" t="s">
        <v>87</v>
      </c>
    </row>
    <row r="28" spans="2:10" ht="15">
      <c r="B28" s="7"/>
      <c r="C28" s="7" t="s">
        <v>91</v>
      </c>
      <c r="D28" s="23">
        <v>18.015</v>
      </c>
      <c r="E28" s="7" t="s">
        <v>1</v>
      </c>
      <c r="F28" s="7"/>
      <c r="G28" s="7"/>
      <c r="H28" s="7"/>
      <c r="I28" s="7"/>
      <c r="J28" s="7" t="s">
        <v>88</v>
      </c>
    </row>
    <row r="29" spans="2:9" ht="15">
      <c r="B29" s="7"/>
      <c r="C29" s="7" t="s">
        <v>4</v>
      </c>
      <c r="D29" s="23">
        <v>0.1</v>
      </c>
      <c r="E29" s="7" t="s">
        <v>1</v>
      </c>
      <c r="F29" s="7"/>
      <c r="G29" s="7"/>
      <c r="H29" s="7"/>
      <c r="I29" s="7"/>
    </row>
    <row r="30" spans="2:9" s="28" customFormat="1" ht="25.5">
      <c r="B30" s="29"/>
      <c r="C30" s="30" t="s">
        <v>122</v>
      </c>
      <c r="D30" s="31">
        <v>5</v>
      </c>
      <c r="E30" s="29" t="s">
        <v>115</v>
      </c>
      <c r="F30" s="29"/>
      <c r="G30" s="29"/>
      <c r="H30" s="29"/>
      <c r="I30" s="29"/>
    </row>
    <row r="31" spans="2:9" ht="15">
      <c r="B31" s="7"/>
      <c r="C31" s="7" t="s">
        <v>6</v>
      </c>
      <c r="D31" s="23">
        <v>0.05</v>
      </c>
      <c r="E31" s="7" t="s">
        <v>5</v>
      </c>
      <c r="F31" s="7"/>
      <c r="G31" s="7"/>
      <c r="H31" s="7"/>
      <c r="I31" s="7"/>
    </row>
    <row r="32" spans="2:9" ht="15">
      <c r="B32" s="7"/>
      <c r="C32" s="18" t="s">
        <v>60</v>
      </c>
      <c r="D32" s="23">
        <v>4</v>
      </c>
      <c r="E32" s="7" t="s">
        <v>75</v>
      </c>
      <c r="F32" s="7"/>
      <c r="G32" s="7"/>
      <c r="H32" s="7"/>
      <c r="I32" s="7"/>
    </row>
    <row r="33" spans="2:9" ht="15">
      <c r="B33" s="7"/>
      <c r="C33" s="33" t="s">
        <v>121</v>
      </c>
      <c r="D33" s="24" t="s">
        <v>78</v>
      </c>
      <c r="E33" s="7"/>
      <c r="F33" s="7"/>
      <c r="G33" s="7"/>
      <c r="H33" s="7"/>
      <c r="I33" s="7"/>
    </row>
    <row r="34" spans="2:9" ht="15">
      <c r="B34" s="7"/>
      <c r="C34" s="18" t="s">
        <v>76</v>
      </c>
      <c r="D34" s="19" t="s">
        <v>78</v>
      </c>
      <c r="E34" s="7" t="s">
        <v>79</v>
      </c>
      <c r="F34" s="7"/>
      <c r="G34" s="7"/>
      <c r="H34" s="7"/>
      <c r="I34" s="7"/>
    </row>
    <row r="35" spans="2:9" ht="15">
      <c r="B35" s="7"/>
      <c r="C35" s="18" t="s">
        <v>138</v>
      </c>
      <c r="D35" s="34">
        <v>200</v>
      </c>
      <c r="E35" s="7" t="s">
        <v>3</v>
      </c>
      <c r="F35" s="7"/>
      <c r="G35" s="7"/>
      <c r="H35" s="7"/>
      <c r="I35" s="7"/>
    </row>
    <row r="36" spans="2:9" ht="15">
      <c r="B36" s="7"/>
      <c r="C36" s="18" t="s">
        <v>82</v>
      </c>
      <c r="D36" s="19" t="s">
        <v>78</v>
      </c>
      <c r="E36" s="7"/>
      <c r="F36" s="7"/>
      <c r="G36" s="7"/>
      <c r="H36" s="7"/>
      <c r="I36" s="7"/>
    </row>
    <row r="37" spans="2:9" ht="15">
      <c r="B37" s="7"/>
      <c r="C37" s="18" t="s">
        <v>83</v>
      </c>
      <c r="D37" s="19" t="s">
        <v>78</v>
      </c>
      <c r="E37" s="7" t="s">
        <v>95</v>
      </c>
      <c r="F37" s="7"/>
      <c r="G37" s="7"/>
      <c r="H37" s="7"/>
      <c r="I37" s="7"/>
    </row>
    <row r="38" spans="2:9" ht="15">
      <c r="B38" s="7"/>
      <c r="C38" s="18"/>
      <c r="D38" s="22"/>
      <c r="E38" s="7"/>
      <c r="F38" s="7"/>
      <c r="G38" s="7"/>
      <c r="H38" s="7"/>
      <c r="I38" s="7"/>
    </row>
    <row r="39" spans="2:9" ht="15">
      <c r="B39" s="7" t="s">
        <v>101</v>
      </c>
      <c r="C39" s="7"/>
      <c r="D39" s="11"/>
      <c r="E39" s="7"/>
      <c r="F39" s="7"/>
      <c r="G39" s="7"/>
      <c r="H39" s="7"/>
      <c r="I39" s="7"/>
    </row>
    <row r="40" spans="2:9" ht="15">
      <c r="B40" s="7"/>
      <c r="C40" s="7" t="s">
        <v>102</v>
      </c>
      <c r="D40" s="23">
        <v>0</v>
      </c>
      <c r="E40" s="7" t="s">
        <v>110</v>
      </c>
      <c r="F40" s="7"/>
      <c r="G40" s="7"/>
      <c r="H40" s="7"/>
      <c r="I40" s="7"/>
    </row>
    <row r="41" spans="2:9" ht="15">
      <c r="B41" s="7"/>
      <c r="C41" s="7" t="s">
        <v>118</v>
      </c>
      <c r="D41" s="23">
        <v>0</v>
      </c>
      <c r="E41" s="7" t="s">
        <v>110</v>
      </c>
      <c r="F41" s="7"/>
      <c r="G41" s="7"/>
      <c r="H41" s="7"/>
      <c r="I41" s="7"/>
    </row>
    <row r="42" spans="2:9" ht="15">
      <c r="B42" s="7"/>
      <c r="C42" s="7" t="s">
        <v>108</v>
      </c>
      <c r="D42" s="23">
        <v>0</v>
      </c>
      <c r="E42" s="7" t="s">
        <v>110</v>
      </c>
      <c r="F42" s="7"/>
      <c r="G42" s="7"/>
      <c r="H42" s="7"/>
      <c r="I42" s="7"/>
    </row>
    <row r="43" spans="2:9" ht="15">
      <c r="B43" s="7"/>
      <c r="C43" s="7" t="s">
        <v>103</v>
      </c>
      <c r="D43" s="23">
        <v>0</v>
      </c>
      <c r="E43" s="7" t="s">
        <v>110</v>
      </c>
      <c r="F43" s="7"/>
      <c r="G43" s="7"/>
      <c r="H43" s="7"/>
      <c r="I43" s="7"/>
    </row>
    <row r="44" spans="2:9" ht="15">
      <c r="B44" s="7"/>
      <c r="C44" s="7" t="s">
        <v>104</v>
      </c>
      <c r="D44" s="23">
        <v>0</v>
      </c>
      <c r="E44" s="7" t="s">
        <v>110</v>
      </c>
      <c r="F44" s="7"/>
      <c r="G44" s="7"/>
      <c r="H44" s="7"/>
      <c r="I44" s="7"/>
    </row>
    <row r="45" spans="2:9" ht="15">
      <c r="B45" s="7"/>
      <c r="C45" s="7" t="s">
        <v>111</v>
      </c>
      <c r="D45" s="23">
        <v>0</v>
      </c>
      <c r="E45" s="7" t="s">
        <v>110</v>
      </c>
      <c r="F45" s="7"/>
      <c r="G45" s="7"/>
      <c r="H45" s="7"/>
      <c r="I45" s="7"/>
    </row>
    <row r="46" spans="2:9" ht="15">
      <c r="B46" s="7"/>
      <c r="C46" s="7" t="s">
        <v>105</v>
      </c>
      <c r="D46" s="23">
        <v>0</v>
      </c>
      <c r="E46" s="7" t="s">
        <v>110</v>
      </c>
      <c r="F46" s="7"/>
      <c r="G46" s="7"/>
      <c r="H46" s="7"/>
      <c r="I46" s="7"/>
    </row>
    <row r="47" spans="2:9" ht="15">
      <c r="B47" s="7"/>
      <c r="C47" s="7" t="s">
        <v>106</v>
      </c>
      <c r="D47" s="23">
        <v>0</v>
      </c>
      <c r="E47" s="7" t="s">
        <v>110</v>
      </c>
      <c r="F47" s="7"/>
      <c r="G47" s="7"/>
      <c r="H47" s="7"/>
      <c r="I47" s="7"/>
    </row>
    <row r="48" spans="2:9" ht="15">
      <c r="B48" s="7"/>
      <c r="C48" s="7" t="s">
        <v>107</v>
      </c>
      <c r="D48" s="23">
        <v>0</v>
      </c>
      <c r="E48" s="7" t="s">
        <v>110</v>
      </c>
      <c r="F48" s="7"/>
      <c r="G48" s="7"/>
      <c r="H48" s="7"/>
      <c r="I48" s="7"/>
    </row>
    <row r="49" spans="2:9" ht="15">
      <c r="B49" s="7"/>
      <c r="C49" s="7" t="s">
        <v>31</v>
      </c>
      <c r="D49" s="23">
        <v>0</v>
      </c>
      <c r="E49" s="7" t="s">
        <v>110</v>
      </c>
      <c r="F49" s="7"/>
      <c r="G49" s="7"/>
      <c r="H49" s="7"/>
      <c r="I49" s="7"/>
    </row>
    <row r="50" spans="2:9" ht="15">
      <c r="B50" s="7"/>
      <c r="C50" s="7" t="s">
        <v>109</v>
      </c>
      <c r="D50" s="23">
        <v>0</v>
      </c>
      <c r="E50" s="7" t="s">
        <v>110</v>
      </c>
      <c r="F50" s="7"/>
      <c r="G50" s="7"/>
      <c r="H50" s="7"/>
      <c r="I50" s="7"/>
    </row>
    <row r="51" spans="2:9" ht="15">
      <c r="B51" s="7"/>
      <c r="C51" s="7"/>
      <c r="D51" s="11"/>
      <c r="E51" s="7"/>
      <c r="F51" s="7"/>
      <c r="G51" s="7"/>
      <c r="H51" s="7"/>
      <c r="I51" s="7"/>
    </row>
    <row r="52" spans="2:9" ht="15">
      <c r="B52" s="7"/>
      <c r="C52" s="7"/>
      <c r="D52" s="10"/>
      <c r="E52" s="7"/>
      <c r="F52" s="7"/>
      <c r="G52" s="7"/>
      <c r="H52" s="7"/>
      <c r="I52" s="7"/>
    </row>
    <row r="53" spans="1:9" ht="15.75">
      <c r="A53" s="4" t="s">
        <v>7</v>
      </c>
      <c r="B53" s="7"/>
      <c r="C53" s="7"/>
      <c r="D53" s="7"/>
      <c r="E53" s="7"/>
      <c r="F53" s="7"/>
      <c r="H53" s="7"/>
      <c r="I53" s="7"/>
    </row>
    <row r="54" spans="2:9" ht="15">
      <c r="B54" s="7" t="s">
        <v>113</v>
      </c>
      <c r="C54" s="7"/>
      <c r="D54" s="7"/>
      <c r="E54" s="7"/>
      <c r="F54" s="7"/>
      <c r="G54" s="7"/>
      <c r="H54" s="7"/>
      <c r="I54" s="7"/>
    </row>
    <row r="55" spans="2:9" ht="15">
      <c r="B55" s="7"/>
      <c r="C55" s="7" t="s">
        <v>8</v>
      </c>
      <c r="D55" s="11">
        <f>D16</f>
        <v>1272</v>
      </c>
      <c r="E55" s="7" t="s">
        <v>2</v>
      </c>
      <c r="F55" s="7"/>
      <c r="G55" s="7"/>
      <c r="H55" s="7"/>
      <c r="I55" s="7"/>
    </row>
    <row r="56" spans="2:9" ht="15">
      <c r="B56" s="7"/>
      <c r="C56" s="7"/>
      <c r="D56" s="25">
        <f>D55*D18/H15*SQRT(H15/(273.15+H13))*SQRT((273.15+D19)/D18)</f>
        <v>1295.074618269668</v>
      </c>
      <c r="E56" s="7" t="s">
        <v>9</v>
      </c>
      <c r="F56" s="7" t="s">
        <v>134</v>
      </c>
      <c r="G56" s="7"/>
      <c r="H56" s="7"/>
      <c r="I56" s="7"/>
    </row>
    <row r="57" spans="2:9" ht="15">
      <c r="B57" s="7"/>
      <c r="C57" s="7"/>
      <c r="D57" s="9"/>
      <c r="E57" s="7"/>
      <c r="G57" s="7"/>
      <c r="H57" s="7"/>
      <c r="I57" s="7"/>
    </row>
    <row r="58" spans="2:9" ht="15">
      <c r="B58" s="7" t="s">
        <v>114</v>
      </c>
      <c r="C58" s="7"/>
      <c r="D58" s="7"/>
      <c r="E58" s="7"/>
      <c r="F58" s="7"/>
      <c r="G58" s="7"/>
      <c r="H58" s="7"/>
      <c r="I58" s="7"/>
    </row>
    <row r="59" spans="2:9" ht="16.5">
      <c r="B59" s="7"/>
      <c r="C59" s="7" t="s">
        <v>45</v>
      </c>
      <c r="D59" s="7"/>
      <c r="E59" s="7"/>
      <c r="F59" s="7"/>
      <c r="G59" s="7"/>
      <c r="H59" s="7"/>
      <c r="I59" s="7"/>
    </row>
    <row r="60" spans="2:9" ht="15">
      <c r="B60" s="7"/>
      <c r="C60" s="13" t="s">
        <v>71</v>
      </c>
      <c r="D60" s="11">
        <f>IF(AND($D$11&lt;42,$D$14&lt;25,$D$13&lt;H16),4,IF(AND($D$11&lt;=58,$D$14&lt;25,$D$13&lt;H16),3,IF(AND($D$11&gt;58,$D$14&lt;25,$D$13&lt;H16),2.5,IF(($D$11&lt;42),6.5,IF($D$11&lt;=58,5,IF($D$11&gt;58,4,6.5))))))</f>
        <v>6.5</v>
      </c>
      <c r="E60" s="7" t="s">
        <v>72</v>
      </c>
      <c r="F60" s="7"/>
      <c r="G60" s="7"/>
      <c r="H60" s="7"/>
      <c r="I60" s="7"/>
    </row>
    <row r="61" spans="2:9" ht="16.5">
      <c r="B61" s="7"/>
      <c r="C61" s="13" t="s">
        <v>46</v>
      </c>
      <c r="D61" s="9">
        <f>IF($D$26&lt;&gt;"sphere",PI()*($D$27/2)^2*$D$28,$D$27^3*PI()/6)</f>
        <v>12734.053122244528</v>
      </c>
      <c r="E61" s="7" t="s">
        <v>10</v>
      </c>
      <c r="F61" s="7"/>
      <c r="G61" s="7"/>
      <c r="H61" s="7"/>
      <c r="I61" s="7"/>
    </row>
    <row r="62" spans="2:9" ht="16.5">
      <c r="B62" s="7"/>
      <c r="C62" s="13" t="s">
        <v>47</v>
      </c>
      <c r="D62" s="7"/>
      <c r="E62" s="7"/>
      <c r="F62" s="7"/>
      <c r="G62" s="7"/>
      <c r="H62" s="7"/>
      <c r="I62" s="7"/>
    </row>
    <row r="63" spans="2:9" ht="15">
      <c r="B63" s="7"/>
      <c r="C63" s="13" t="s">
        <v>11</v>
      </c>
      <c r="D63" s="11">
        <f>D32</f>
        <v>4</v>
      </c>
      <c r="E63" s="7" t="s">
        <v>44</v>
      </c>
      <c r="F63" s="7"/>
      <c r="G63" s="7"/>
      <c r="H63" s="7"/>
      <c r="I63" s="7"/>
    </row>
    <row r="64" spans="2:9" ht="16.5">
      <c r="B64" s="7"/>
      <c r="C64" s="13" t="s">
        <v>48</v>
      </c>
      <c r="D64" s="7">
        <f>D29</f>
        <v>0.1</v>
      </c>
      <c r="E64" s="7" t="s">
        <v>1</v>
      </c>
      <c r="F64" s="7"/>
      <c r="G64" s="7"/>
      <c r="H64" s="7"/>
      <c r="I64" s="7"/>
    </row>
    <row r="65" spans="2:9" ht="16.5">
      <c r="B65" s="7"/>
      <c r="C65" s="14" t="s">
        <v>49</v>
      </c>
      <c r="D65" s="7">
        <f>D31</f>
        <v>0.05</v>
      </c>
      <c r="E65" s="7" t="s">
        <v>5</v>
      </c>
      <c r="F65" s="7"/>
      <c r="G65" s="7"/>
      <c r="H65" s="7"/>
      <c r="I65" s="7"/>
    </row>
    <row r="66" spans="2:9" ht="16.5">
      <c r="B66" s="7"/>
      <c r="C66" s="13" t="s">
        <v>50</v>
      </c>
      <c r="D66" s="10">
        <f>1/(1+D63*D64/D65)</f>
        <v>0.1111111111111111</v>
      </c>
      <c r="E66" s="7"/>
      <c r="F66" s="9"/>
      <c r="G66" s="7"/>
      <c r="H66" s="7"/>
      <c r="I66" s="7"/>
    </row>
    <row r="67" spans="2:9" ht="16.5">
      <c r="B67" s="7"/>
      <c r="C67" s="13" t="s">
        <v>123</v>
      </c>
      <c r="D67" s="10">
        <f>$D$30/100*$D$66+1-$D$30/100</f>
        <v>0.9555555555555555</v>
      </c>
      <c r="E67" s="7"/>
      <c r="F67" s="16"/>
      <c r="G67" s="7"/>
      <c r="H67" s="7"/>
      <c r="I67" s="7"/>
    </row>
    <row r="68" spans="2:9" ht="15">
      <c r="B68" s="7"/>
      <c r="C68" s="13" t="s">
        <v>124</v>
      </c>
      <c r="D68" s="32">
        <f>IF(D33="yes",0.25+0.75*(1-D30/100),"")</f>
      </c>
      <c r="E68" s="7"/>
      <c r="F68" s="16"/>
      <c r="G68" s="7"/>
      <c r="H68" s="7"/>
      <c r="I68" s="7"/>
    </row>
    <row r="69" spans="2:9" ht="16.5">
      <c r="B69" s="7"/>
      <c r="C69" s="13" t="s">
        <v>51</v>
      </c>
      <c r="D69" s="15">
        <f>IF(D33="no",D60*D61^0.7*D67,D60*D61^0.7*D68)</f>
        <v>4641.367517525883</v>
      </c>
      <c r="E69" s="7" t="s">
        <v>55</v>
      </c>
      <c r="F69" s="7"/>
      <c r="G69" s="7"/>
      <c r="H69" s="7"/>
      <c r="I69" s="7"/>
    </row>
    <row r="70" spans="2:9" ht="15">
      <c r="B70" s="7"/>
      <c r="C70" s="7"/>
      <c r="D70" s="10"/>
      <c r="E70" s="7"/>
      <c r="F70" s="7"/>
      <c r="G70" s="7"/>
      <c r="H70" s="7"/>
      <c r="I70" s="7"/>
    </row>
    <row r="71" spans="2:9" ht="15">
      <c r="B71" s="16" t="s">
        <v>12</v>
      </c>
      <c r="C71" s="16"/>
      <c r="D71" s="15">
        <f>$D$56+$D$69</f>
        <v>5936.442135795551</v>
      </c>
      <c r="E71" s="16" t="s">
        <v>62</v>
      </c>
      <c r="F71" s="7"/>
      <c r="G71" s="7"/>
      <c r="H71" s="7"/>
      <c r="I71" s="7"/>
    </row>
    <row r="72" spans="2:9" ht="15">
      <c r="B72" s="7"/>
      <c r="C72" s="7"/>
      <c r="D72" s="7"/>
      <c r="E72" s="7"/>
      <c r="F72" s="7" t="s">
        <v>56</v>
      </c>
      <c r="G72" s="7"/>
      <c r="H72" s="7"/>
      <c r="I72" s="7"/>
    </row>
    <row r="73" spans="1:9" ht="15.75">
      <c r="A73" s="4" t="s">
        <v>32</v>
      </c>
      <c r="B73" s="7"/>
      <c r="C73" s="7"/>
      <c r="D73" s="7"/>
      <c r="E73" s="7"/>
      <c r="F73" s="7" t="s">
        <v>56</v>
      </c>
      <c r="G73" s="7"/>
      <c r="H73" s="7"/>
      <c r="I73" s="7"/>
    </row>
    <row r="74" spans="2:9" ht="15">
      <c r="B74" s="7" t="s">
        <v>119</v>
      </c>
      <c r="C74" s="7"/>
      <c r="D74" s="7"/>
      <c r="E74" s="7"/>
      <c r="F74" s="7"/>
      <c r="G74" s="7"/>
      <c r="H74" s="7"/>
      <c r="I74" s="7"/>
    </row>
    <row r="75" spans="2:9" ht="15">
      <c r="B75" s="7"/>
      <c r="C75" s="7" t="s">
        <v>33</v>
      </c>
      <c r="D75" s="26">
        <f>IF(D13&lt;50,D15,(2*D15))</f>
        <v>795</v>
      </c>
      <c r="E75" s="7" t="s">
        <v>2</v>
      </c>
      <c r="F75" s="7"/>
      <c r="G75" s="7"/>
      <c r="H75" s="7"/>
      <c r="I75" s="7"/>
    </row>
    <row r="76" spans="2:9" ht="15">
      <c r="B76" s="7"/>
      <c r="C76" s="27" t="s">
        <v>128</v>
      </c>
      <c r="D76" s="25">
        <f>D75*D17/H15*SQRT(H15/(H13+273.15))*SQRT((D14+273.15)/D17)</f>
        <v>809.4216364185427</v>
      </c>
      <c r="E76" s="16" t="s">
        <v>9</v>
      </c>
      <c r="F76" s="7" t="s">
        <v>133</v>
      </c>
      <c r="G76" s="7"/>
      <c r="H76" s="7"/>
      <c r="I76" s="7"/>
    </row>
    <row r="77" spans="2:9" ht="15">
      <c r="B77" s="7"/>
      <c r="C77" s="7"/>
      <c r="D77" s="12"/>
      <c r="E77" s="7"/>
      <c r="F77" s="7"/>
      <c r="G77" s="7"/>
      <c r="H77" s="7"/>
      <c r="I77" s="7"/>
    </row>
    <row r="78" spans="2:9" ht="15">
      <c r="B78" s="7" t="s">
        <v>120</v>
      </c>
      <c r="C78" s="7"/>
      <c r="D78" s="7"/>
      <c r="E78" s="7"/>
      <c r="F78" s="7"/>
      <c r="G78" s="7"/>
      <c r="H78" s="7"/>
      <c r="I78" s="7"/>
    </row>
    <row r="79" spans="2:9" ht="16.5">
      <c r="B79" s="7"/>
      <c r="C79" s="7" t="s">
        <v>52</v>
      </c>
      <c r="D79" s="7"/>
      <c r="E79" s="7"/>
      <c r="F79" s="7"/>
      <c r="G79" s="7"/>
      <c r="H79" s="7"/>
      <c r="I79" s="7"/>
    </row>
    <row r="80" spans="2:9" ht="15">
      <c r="B80" s="7"/>
      <c r="C80" s="13" t="s">
        <v>73</v>
      </c>
      <c r="D80" s="11">
        <f>IF(D11&lt;42,0.32,IF(D11&lt;=58,0.25,0.2))</f>
        <v>0.32</v>
      </c>
      <c r="E80" s="7" t="s">
        <v>74</v>
      </c>
      <c r="F80" s="7"/>
      <c r="G80" s="7"/>
      <c r="H80" s="7"/>
      <c r="I80" s="7"/>
    </row>
    <row r="81" spans="2:9" ht="16.5">
      <c r="B81" s="7"/>
      <c r="C81" s="13" t="s">
        <v>46</v>
      </c>
      <c r="D81" s="9">
        <f>IF($D$26&lt;&gt;"sphere",PI()*($D$27/2)^2*$D$28,$D$27^3*PI()/6)</f>
        <v>12734.053122244528</v>
      </c>
      <c r="E81" s="7" t="s">
        <v>10</v>
      </c>
      <c r="F81" s="7"/>
      <c r="G81" s="7"/>
      <c r="H81" s="7"/>
      <c r="I81" s="7"/>
    </row>
    <row r="82" spans="2:9" ht="16.5">
      <c r="B82" s="7"/>
      <c r="C82" s="13" t="s">
        <v>47</v>
      </c>
      <c r="D82" s="7"/>
      <c r="E82" s="7"/>
      <c r="F82" s="7"/>
      <c r="G82" s="7"/>
      <c r="H82" s="7"/>
      <c r="I82" s="7"/>
    </row>
    <row r="83" spans="2:9" ht="15">
      <c r="B83" s="7"/>
      <c r="C83" s="13" t="s">
        <v>11</v>
      </c>
      <c r="D83" s="11">
        <f>D32</f>
        <v>4</v>
      </c>
      <c r="E83" s="7" t="s">
        <v>44</v>
      </c>
      <c r="F83" s="7"/>
      <c r="G83" s="7"/>
      <c r="H83" s="7"/>
      <c r="I83" s="7"/>
    </row>
    <row r="84" spans="2:9" ht="16.5">
      <c r="B84" s="7"/>
      <c r="C84" s="13" t="s">
        <v>48</v>
      </c>
      <c r="D84" s="7">
        <f>D29</f>
        <v>0.1</v>
      </c>
      <c r="E84" s="7" t="s">
        <v>1</v>
      </c>
      <c r="F84" s="7"/>
      <c r="G84" s="7"/>
      <c r="H84" s="7"/>
      <c r="I84" s="7"/>
    </row>
    <row r="85" spans="2:9" ht="16.5">
      <c r="B85" s="7"/>
      <c r="C85" s="14" t="s">
        <v>49</v>
      </c>
      <c r="D85" s="7">
        <f>D31</f>
        <v>0.05</v>
      </c>
      <c r="E85" s="7" t="s">
        <v>5</v>
      </c>
      <c r="F85" s="7"/>
      <c r="G85" s="7"/>
      <c r="H85" s="7"/>
      <c r="I85" s="7"/>
    </row>
    <row r="86" spans="2:10" ht="16.5">
      <c r="B86" s="7"/>
      <c r="C86" s="13" t="s">
        <v>50</v>
      </c>
      <c r="D86" s="10">
        <f>1/(1+D83*D84/D85)</f>
        <v>0.1111111111111111</v>
      </c>
      <c r="E86" s="7"/>
      <c r="F86" s="16"/>
      <c r="G86" s="7"/>
      <c r="H86" s="7"/>
      <c r="I86" s="7"/>
      <c r="J86" s="2"/>
    </row>
    <row r="87" spans="2:9" ht="16.5">
      <c r="B87" s="7"/>
      <c r="C87" s="13" t="s">
        <v>123</v>
      </c>
      <c r="D87" s="10">
        <f>$D$30/100*$D$86+1-$D$30/100</f>
        <v>0.9555555555555555</v>
      </c>
      <c r="E87" s="7"/>
      <c r="F87" s="16"/>
      <c r="G87" s="7"/>
      <c r="H87" s="7"/>
      <c r="I87" s="7"/>
    </row>
    <row r="88" spans="2:9" ht="15">
      <c r="B88" s="7"/>
      <c r="C88" s="13" t="s">
        <v>124</v>
      </c>
      <c r="D88" s="32">
        <f>IF(D33="yes",0.25+0.75*(1-D30/100),"")</f>
      </c>
      <c r="E88" s="7"/>
      <c r="F88" s="16"/>
      <c r="G88" s="7"/>
      <c r="H88" s="7"/>
      <c r="I88" s="7"/>
    </row>
    <row r="89" spans="2:9" ht="16.5">
      <c r="B89" s="7"/>
      <c r="C89" s="13" t="s">
        <v>54</v>
      </c>
      <c r="D89" s="15">
        <f>IF(D33="no",D80*D81^0.9*D87,D80*D81^0.9*D88)</f>
        <v>1513.1288495023941</v>
      </c>
      <c r="E89" s="16" t="s">
        <v>61</v>
      </c>
      <c r="F89" s="7"/>
      <c r="G89" s="7"/>
      <c r="H89" s="7"/>
      <c r="I89" s="7"/>
    </row>
    <row r="90" spans="2:9" ht="15">
      <c r="B90" s="7"/>
      <c r="C90" s="7"/>
      <c r="D90" s="17"/>
      <c r="E90" s="7"/>
      <c r="F90" s="7"/>
      <c r="G90" s="7"/>
      <c r="H90" s="7"/>
      <c r="I90" s="7"/>
    </row>
    <row r="91" spans="2:9" ht="15">
      <c r="B91" s="16" t="s">
        <v>34</v>
      </c>
      <c r="C91" s="16"/>
      <c r="D91" s="15">
        <f>$D$76+$D$89</f>
        <v>2322.550485920937</v>
      </c>
      <c r="E91" s="16" t="s">
        <v>61</v>
      </c>
      <c r="F91" s="7"/>
      <c r="G91" s="7"/>
      <c r="H91" s="7"/>
      <c r="I91" s="7"/>
    </row>
    <row r="92" spans="2:9" ht="15">
      <c r="B92" s="7"/>
      <c r="C92" s="7"/>
      <c r="D92" s="7"/>
      <c r="E92" s="7"/>
      <c r="F92" s="7"/>
      <c r="G92" s="7"/>
      <c r="H92" s="7"/>
      <c r="I92" s="7"/>
    </row>
    <row r="93" spans="2:9" ht="15">
      <c r="B93" s="16" t="s">
        <v>96</v>
      </c>
      <c r="C93" s="16"/>
      <c r="D93" s="15">
        <f>IF($D$34="yes",0,'Fire Relief'!$C$14)</f>
        <v>4162.218295292605</v>
      </c>
      <c r="E93" s="16" t="s">
        <v>61</v>
      </c>
      <c r="F93" s="7"/>
      <c r="G93" s="7"/>
      <c r="H93" s="7"/>
      <c r="I93" s="7"/>
    </row>
    <row r="94" spans="2:9" ht="15">
      <c r="B94" s="7"/>
      <c r="C94" s="7"/>
      <c r="D94" s="7"/>
      <c r="E94" s="7"/>
      <c r="F94" s="7"/>
      <c r="G94" s="7"/>
      <c r="H94" s="7"/>
      <c r="I94" s="7"/>
    </row>
    <row r="95" spans="2:9" ht="15">
      <c r="B95" s="7"/>
      <c r="C95" s="7"/>
      <c r="D95" s="7"/>
      <c r="E95" s="7"/>
      <c r="F95" s="7"/>
      <c r="G95" s="7"/>
      <c r="H95" s="7"/>
      <c r="I95" s="7"/>
    </row>
    <row r="96" spans="2:9" ht="15">
      <c r="B96" s="7"/>
      <c r="C96" s="7"/>
      <c r="D96" s="7"/>
      <c r="E96" s="7"/>
      <c r="F96" s="7"/>
      <c r="G96" s="7"/>
      <c r="H96" s="7"/>
      <c r="I96" s="7"/>
    </row>
    <row r="97" spans="2:9" ht="15">
      <c r="B97" s="7"/>
      <c r="C97" s="7"/>
      <c r="D97" s="7"/>
      <c r="E97" s="7"/>
      <c r="F97" s="7"/>
      <c r="G97" s="7"/>
      <c r="H97" s="7"/>
      <c r="I97" s="7"/>
    </row>
    <row r="98" spans="2:9" ht="15">
      <c r="B98" s="7"/>
      <c r="C98" s="7"/>
      <c r="D98" s="7"/>
      <c r="E98" s="7"/>
      <c r="F98" s="7"/>
      <c r="G98" s="7"/>
      <c r="H98" s="7"/>
      <c r="I98" s="7"/>
    </row>
    <row r="99" spans="2:5" ht="15">
      <c r="B99" s="7"/>
      <c r="C99" s="7"/>
      <c r="D99" s="7"/>
      <c r="E99" s="7"/>
    </row>
    <row r="100" spans="2:5" ht="15">
      <c r="B100" s="7"/>
      <c r="C100" s="7"/>
      <c r="D100" s="7"/>
      <c r="E100" s="7"/>
    </row>
    <row r="101" spans="2:5" ht="15">
      <c r="B101" s="7"/>
      <c r="C101" s="7"/>
      <c r="D101" s="7"/>
      <c r="E101" s="7"/>
    </row>
  </sheetData>
  <sheetProtection/>
  <mergeCells count="3">
    <mergeCell ref="H5:I5"/>
    <mergeCell ref="H6:I6"/>
    <mergeCell ref="H7:I7"/>
  </mergeCells>
  <dataValidations count="3">
    <dataValidation type="list" allowBlank="1" showInputMessage="1" showErrorMessage="1" sqref="D33:D34 D36:D38 D23">
      <formula1>$J$10:$J$11</formula1>
    </dataValidation>
    <dataValidation type="list" allowBlank="1" showInputMessage="1" showErrorMessage="1" sqref="D26">
      <formula1>$J$26:$J$28</formula1>
    </dataValidation>
    <dataValidation errorStyle="warning" type="decimal" allowBlank="1" showInputMessage="1" showErrorMessage="1" errorTitle="Max design pressure" error="Max pressure for API 2000 is 1034 mbar" sqref="D35">
      <formula1>0</formula1>
      <formula2>1034</formula2>
    </dataValidation>
  </dataValidations>
  <printOptions/>
  <pageMargins left="0.49" right="0.45" top="0.85" bottom="0.55" header="0.33" footer="0.15"/>
  <pageSetup fitToHeight="3" fitToWidth="1" horizontalDpi="600" verticalDpi="600" orientation="portrait" paperSize="9" scale="67" r:id="rId1"/>
  <headerFooter alignWithMargins="0">
    <oddHeader>&amp;L&amp;D&amp;R&amp;F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C10" sqref="C10"/>
    </sheetView>
  </sheetViews>
  <sheetFormatPr defaultColWidth="8.88671875" defaultRowHeight="15"/>
  <cols>
    <col min="1" max="1" width="16.5546875" style="0" bestFit="1" customWidth="1"/>
    <col min="5" max="5" width="15.88671875" style="0" bestFit="1" customWidth="1"/>
    <col min="7" max="7" width="17.10546875" style="0" customWidth="1"/>
    <col min="8" max="8" width="12.3359375" style="0" customWidth="1"/>
  </cols>
  <sheetData>
    <row r="2" ht="15">
      <c r="A2" s="5" t="s">
        <v>125</v>
      </c>
    </row>
    <row r="3" ht="15">
      <c r="A3" s="5"/>
    </row>
    <row r="4" spans="1:9" ht="15">
      <c r="A4" t="s">
        <v>14</v>
      </c>
      <c r="B4" t="s">
        <v>15</v>
      </c>
      <c r="C4" s="2">
        <f>IF(AND((C10&gt;=260),'normal breathing'!D35&lt;=70),4129700,IF(C10&gt;=260,43200*('Fire Relief'!C10^0.82),IF(C10&gt;=93,630400*(C10^0.338),IF(C10&gt;=18.6,224200*(C10^0.566),63150*C10))))</f>
        <v>11024577.424001336</v>
      </c>
      <c r="D4" t="s">
        <v>93</v>
      </c>
      <c r="E4" t="s">
        <v>16</v>
      </c>
      <c r="F4" s="2"/>
      <c r="I4" s="5" t="s">
        <v>81</v>
      </c>
    </row>
    <row r="5" spans="1:9" ht="15">
      <c r="A5" t="s">
        <v>17</v>
      </c>
      <c r="B5" t="s">
        <v>18</v>
      </c>
      <c r="C5" s="6">
        <f>I8</f>
        <v>0.07619999999999999</v>
      </c>
      <c r="E5" s="5" t="s">
        <v>57</v>
      </c>
      <c r="G5" s="5" t="s">
        <v>80</v>
      </c>
      <c r="I5" s="6">
        <f>IF('normal breathing'!D29&gt;0,0.3/'normal breathing'!D29*0.0254,1)</f>
        <v>0.07619999999999999</v>
      </c>
    </row>
    <row r="6" spans="1:9" ht="15">
      <c r="A6" t="s">
        <v>94</v>
      </c>
      <c r="B6" t="s">
        <v>19</v>
      </c>
      <c r="C6">
        <f>'normal breathing'!D20</f>
        <v>334900</v>
      </c>
      <c r="D6" t="s">
        <v>23</v>
      </c>
      <c r="G6" s="5" t="s">
        <v>82</v>
      </c>
      <c r="I6" s="5">
        <f>IF('normal breathing'!D36="yes",0.03,1)</f>
        <v>1</v>
      </c>
    </row>
    <row r="7" spans="1:9" ht="15">
      <c r="A7" t="s">
        <v>21</v>
      </c>
      <c r="B7" t="s">
        <v>20</v>
      </c>
      <c r="C7">
        <f>'normal breathing'!D21+273.15</f>
        <v>288.75</v>
      </c>
      <c r="D7" t="s">
        <v>22</v>
      </c>
      <c r="E7" s="7"/>
      <c r="G7" s="5" t="s">
        <v>83</v>
      </c>
      <c r="I7" s="5">
        <f>IF('normal breathing'!D37="yes",0.5,1)</f>
        <v>1</v>
      </c>
    </row>
    <row r="8" spans="1:9" ht="15.75">
      <c r="A8" s="5" t="s">
        <v>58</v>
      </c>
      <c r="B8" t="s">
        <v>29</v>
      </c>
      <c r="C8">
        <f>'normal breathing'!D22</f>
        <v>86.2</v>
      </c>
      <c r="D8" s="5" t="s">
        <v>30</v>
      </c>
      <c r="G8" s="4" t="s">
        <v>84</v>
      </c>
      <c r="H8" s="4"/>
      <c r="I8" s="21">
        <f>MIN(I5:I7)</f>
        <v>0.07619999999999999</v>
      </c>
    </row>
    <row r="10" spans="1:4" ht="15.75">
      <c r="A10" t="s">
        <v>25</v>
      </c>
      <c r="B10" s="4" t="s">
        <v>24</v>
      </c>
      <c r="C10" s="2">
        <f>IF('normal breathing'!$D$26="sphere",(0.55*PI()*($C$12)^2),IF('normal breathing'!$D$26="vertical",(PI()*$C$12*$C$11),(0.75*PI()*$C$12*($C$12/2+$C$11))))</f>
        <v>861.4247056143213</v>
      </c>
      <c r="D10" t="s">
        <v>13</v>
      </c>
    </row>
    <row r="11" spans="1:7" ht="15">
      <c r="A11" s="5" t="s">
        <v>89</v>
      </c>
      <c r="C11" s="5">
        <f>IF('normal breathing'!D28&gt;9.14,9.14,'normal breathing'!D28)</f>
        <v>9.14</v>
      </c>
      <c r="E11" s="5" t="s">
        <v>59</v>
      </c>
      <c r="G11" s="2"/>
    </row>
    <row r="12" spans="1:7" ht="15">
      <c r="A12" t="s">
        <v>26</v>
      </c>
      <c r="C12">
        <f>'normal breathing'!D27</f>
        <v>30</v>
      </c>
      <c r="G12" s="2"/>
    </row>
    <row r="13" ht="15">
      <c r="G13" s="2"/>
    </row>
    <row r="14" spans="1:4" ht="15.75">
      <c r="A14" s="4" t="s">
        <v>27</v>
      </c>
      <c r="B14" s="4" t="s">
        <v>28</v>
      </c>
      <c r="C14" s="20">
        <f>906.6*(C4*C5/C6)*((C7/C8)^0.5)</f>
        <v>4162.218295292605</v>
      </c>
      <c r="D14" s="4" t="s">
        <v>9</v>
      </c>
    </row>
    <row r="21" spans="2:4" ht="15">
      <c r="B21" s="2"/>
      <c r="D21" s="6"/>
    </row>
    <row r="24" ht="15">
      <c r="B24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SABIC Innovative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Sabic Innovative Plastics</dc:creator>
  <cp:keywords/>
  <dc:description/>
  <cp:lastModifiedBy>info_000</cp:lastModifiedBy>
  <cp:lastPrinted>2010-10-12T09:29:42Z</cp:lastPrinted>
  <dcterms:created xsi:type="dcterms:W3CDTF">2010-10-01T06:52:57Z</dcterms:created>
  <dcterms:modified xsi:type="dcterms:W3CDTF">2015-04-08T11:00:55Z</dcterms:modified>
  <cp:category/>
  <cp:version/>
  <cp:contentType/>
  <cp:contentStatus/>
</cp:coreProperties>
</file>